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6540" windowHeight="5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7" i="1"/>
  <c r="C17"/>
  <c r="E44"/>
  <c r="D44"/>
  <c r="E43"/>
  <c r="D43"/>
  <c r="K4"/>
  <c r="K9" s="1"/>
  <c r="K10" s="1"/>
  <c r="H4"/>
  <c r="H9" s="1"/>
  <c r="H10" s="1"/>
  <c r="E4"/>
  <c r="E9" s="1"/>
  <c r="E10" s="1"/>
  <c r="B4"/>
  <c r="B9" s="1"/>
  <c r="B10" s="1"/>
  <c r="L22"/>
  <c r="K22"/>
  <c r="I22"/>
  <c r="H22"/>
  <c r="F22"/>
  <c r="E22"/>
  <c r="C22"/>
  <c r="B22"/>
  <c r="L21"/>
  <c r="K21"/>
  <c r="I21"/>
  <c r="H21"/>
  <c r="F21"/>
  <c r="E21"/>
  <c r="C21"/>
  <c r="B21"/>
  <c r="L20"/>
  <c r="I20"/>
  <c r="F20"/>
  <c r="C20"/>
  <c r="K20"/>
  <c r="H20"/>
  <c r="E20"/>
  <c r="B20"/>
  <c r="L19"/>
  <c r="K19"/>
  <c r="K25" s="1"/>
  <c r="I19"/>
  <c r="H19"/>
  <c r="H25" s="1"/>
  <c r="F19"/>
  <c r="E19"/>
  <c r="C19"/>
  <c r="B19"/>
  <c r="B25" s="1"/>
  <c r="L14"/>
  <c r="L24" s="1"/>
  <c r="K14"/>
  <c r="K26" s="1"/>
  <c r="I14"/>
  <c r="I24" s="1"/>
  <c r="H14"/>
  <c r="H26" s="1"/>
  <c r="F14"/>
  <c r="F24" s="1"/>
  <c r="E14"/>
  <c r="C14"/>
  <c r="C24" s="1"/>
  <c r="B14"/>
  <c r="E25" l="1"/>
  <c r="E26" s="1"/>
  <c r="B26"/>
  <c r="C44"/>
  <c r="C43"/>
  <c r="B43"/>
  <c r="F25"/>
  <c r="I25"/>
  <c r="I26" s="1"/>
  <c r="B40" s="1"/>
  <c r="L25"/>
  <c r="C25"/>
  <c r="C26" s="1"/>
  <c r="D40" l="1"/>
  <c r="L26"/>
  <c r="C40" s="1"/>
  <c r="F26"/>
  <c r="E40" s="1"/>
  <c r="B44"/>
  <c r="B49" s="1"/>
  <c r="B47" l="1"/>
  <c r="B48" s="1"/>
  <c r="B50" s="1"/>
  <c r="D41" s="1"/>
  <c r="D42" s="1"/>
  <c r="E41" l="1"/>
  <c r="F27" s="1"/>
  <c r="C41"/>
  <c r="C42" s="1"/>
  <c r="K27" s="1"/>
  <c r="B41"/>
  <c r="B42" s="1"/>
  <c r="I27" s="1"/>
  <c r="E27"/>
  <c r="B27"/>
  <c r="E42" l="1"/>
  <c r="C27"/>
  <c r="L27"/>
  <c r="L28" s="1"/>
  <c r="L29" s="1"/>
  <c r="L31" s="1"/>
  <c r="H27"/>
  <c r="E28"/>
  <c r="E29" s="1"/>
  <c r="E31" s="1"/>
  <c r="I28"/>
  <c r="I29" s="1"/>
  <c r="I31" s="1"/>
  <c r="F28"/>
  <c r="F29" s="1"/>
  <c r="F31" s="1"/>
  <c r="B28"/>
  <c r="B29" s="1"/>
  <c r="B31" s="1"/>
  <c r="K28"/>
  <c r="K29" s="1"/>
  <c r="K31" s="1"/>
  <c r="H28"/>
  <c r="H29" s="1"/>
  <c r="H31" s="1"/>
  <c r="C28"/>
  <c r="C29" s="1"/>
  <c r="C31" s="1"/>
  <c r="E30" l="1"/>
  <c r="I30"/>
  <c r="I32" s="1"/>
  <c r="I33" s="1"/>
  <c r="L30"/>
  <c r="L32" s="1"/>
  <c r="L33" s="1"/>
  <c r="C30"/>
  <c r="C32" s="1"/>
  <c r="C33" s="1"/>
  <c r="H30"/>
  <c r="H32" s="1"/>
  <c r="K30"/>
  <c r="K32" s="1"/>
  <c r="B30"/>
  <c r="B32" s="1"/>
  <c r="F30"/>
  <c r="F32" s="1"/>
  <c r="F33" s="1"/>
  <c r="E32"/>
  <c r="K34" l="1"/>
  <c r="K35" s="1"/>
  <c r="K33"/>
  <c r="E34"/>
  <c r="E35" s="1"/>
  <c r="E33"/>
  <c r="B34"/>
  <c r="B33"/>
  <c r="H34"/>
  <c r="H35" s="1"/>
  <c r="H33"/>
  <c r="B36" l="1"/>
  <c r="B37" s="1"/>
  <c r="B35"/>
</calcChain>
</file>

<file path=xl/sharedStrings.xml><?xml version="1.0" encoding="utf-8"?>
<sst xmlns="http://schemas.openxmlformats.org/spreadsheetml/2006/main" count="82" uniqueCount="65">
  <si>
    <t>EB</t>
  </si>
  <si>
    <t>L</t>
  </si>
  <si>
    <t>T</t>
  </si>
  <si>
    <t>R</t>
  </si>
  <si>
    <t>WB</t>
  </si>
  <si>
    <t>NB</t>
  </si>
  <si>
    <t>SB</t>
  </si>
  <si>
    <t>Easy Street</t>
  </si>
  <si>
    <t>High Road</t>
  </si>
  <si>
    <t>Street</t>
  </si>
  <si>
    <t>Approach</t>
  </si>
  <si>
    <t>Movement</t>
  </si>
  <si>
    <t>Lane Group</t>
  </si>
  <si>
    <t># Lanes</t>
  </si>
  <si>
    <t>Volume</t>
  </si>
  <si>
    <t>TR</t>
  </si>
  <si>
    <t>Base saturation flow</t>
  </si>
  <si>
    <t>Lane width factor</t>
  </si>
  <si>
    <t>Lane width</t>
  </si>
  <si>
    <t>% heavy vehicles</t>
  </si>
  <si>
    <t>Heavy vehicle factor</t>
  </si>
  <si>
    <t>Grade factor</t>
  </si>
  <si>
    <t>Grade</t>
  </si>
  <si>
    <t>Left-turn factor</t>
  </si>
  <si>
    <t>Right-turn factor</t>
  </si>
  <si>
    <t>Saturation flow</t>
  </si>
  <si>
    <t>Phase 1</t>
  </si>
  <si>
    <t>Phase 2</t>
  </si>
  <si>
    <t>Phase 3</t>
  </si>
  <si>
    <t>Phase 4</t>
  </si>
  <si>
    <t>Green</t>
  </si>
  <si>
    <t>Yellow</t>
  </si>
  <si>
    <t>All-Red</t>
  </si>
  <si>
    <t>Available green time</t>
  </si>
  <si>
    <t>PIJR</t>
  </si>
  <si>
    <t>Deceleration</t>
  </si>
  <si>
    <t>Intersection width</t>
  </si>
  <si>
    <t>Speed (mph)</t>
  </si>
  <si>
    <t>Speed (ft/s)</t>
  </si>
  <si>
    <t>Vehicle length</t>
  </si>
  <si>
    <t>Clearance time</t>
  </si>
  <si>
    <t>Total clearance time</t>
  </si>
  <si>
    <t>Y ratio</t>
  </si>
  <si>
    <t>Critical Y ratio</t>
  </si>
  <si>
    <t>Optimal cycle length</t>
  </si>
  <si>
    <t>Rounded cycle length</t>
  </si>
  <si>
    <t>Rounded up</t>
  </si>
  <si>
    <t>Optimal green</t>
  </si>
  <si>
    <t>Capacity</t>
  </si>
  <si>
    <t>X ratio</t>
  </si>
  <si>
    <t>% green time</t>
  </si>
  <si>
    <t>Uniform delay</t>
  </si>
  <si>
    <t>Incremental delay</t>
  </si>
  <si>
    <t>Total delay</t>
  </si>
  <si>
    <t>Lane group LOS</t>
  </si>
  <si>
    <t>A</t>
  </si>
  <si>
    <t>B</t>
  </si>
  <si>
    <t>C</t>
  </si>
  <si>
    <t>D</t>
  </si>
  <si>
    <t>E</t>
  </si>
  <si>
    <t>F</t>
  </si>
  <si>
    <t>Approach delay</t>
  </si>
  <si>
    <t>Approach LOS</t>
  </si>
  <si>
    <t>Intersection delay</t>
  </si>
  <si>
    <t>Intersection LOS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</si>
</sst>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2" borderId="0" xfId="0" applyFill="1" applyAlignment="1">
      <alignment horizontal="right"/>
    </xf>
    <xf numFmtId="0" fontId="0" fillId="2" borderId="0" xfId="0" applyFill="1"/>
    <xf numFmtId="2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9" fontId="0" fillId="3" borderId="0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9" fontId="0" fillId="3" borderId="0" xfId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9" fontId="0" fillId="3" borderId="10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9" fontId="0" fillId="3" borderId="10" xfId="1" applyFon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5" xfId="0" applyFill="1" applyBorder="1" applyAlignment="1">
      <alignment horizontal="right"/>
    </xf>
    <xf numFmtId="0" fontId="0" fillId="3" borderId="26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 applyAlignment="1">
      <alignment horizontal="right"/>
    </xf>
    <xf numFmtId="0" fontId="0" fillId="3" borderId="30" xfId="0" applyFill="1" applyBorder="1" applyAlignment="1">
      <alignment horizontal="right"/>
    </xf>
    <xf numFmtId="0" fontId="0" fillId="3" borderId="31" xfId="0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right"/>
    </xf>
    <xf numFmtId="2" fontId="0" fillId="3" borderId="13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2" fontId="0" fillId="3" borderId="22" xfId="0" applyNumberFormat="1" applyFill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2" fontId="0" fillId="3" borderId="19" xfId="0" applyNumberFormat="1" applyFill="1" applyBorder="1" applyAlignment="1">
      <alignment horizontal="center"/>
    </xf>
    <xf numFmtId="2" fontId="0" fillId="3" borderId="23" xfId="0" applyNumberFormat="1" applyFill="1" applyBorder="1" applyAlignment="1">
      <alignment horizontal="center"/>
    </xf>
    <xf numFmtId="2" fontId="0" fillId="3" borderId="21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9" fontId="0" fillId="3" borderId="0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9" fontId="0" fillId="3" borderId="0" xfId="1" applyFont="1" applyFill="1" applyBorder="1" applyAlignment="1">
      <alignment horizontal="center"/>
    </xf>
    <xf numFmtId="9" fontId="0" fillId="3" borderId="4" xfId="1" applyFont="1" applyFill="1" applyBorder="1" applyAlignment="1">
      <alignment horizontal="center"/>
    </xf>
    <xf numFmtId="1" fontId="0" fillId="3" borderId="21" xfId="0" applyNumberFormat="1" applyFill="1" applyBorder="1" applyAlignment="1">
      <alignment horizontal="center"/>
    </xf>
    <xf numFmtId="9" fontId="0" fillId="3" borderId="21" xfId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topLeftCell="A28" workbookViewId="0">
      <selection activeCell="O19" sqref="O19"/>
    </sheetView>
  </sheetViews>
  <sheetFormatPr defaultRowHeight="15"/>
  <cols>
    <col min="1" max="1" width="20.28515625" style="1" bestFit="1" customWidth="1"/>
    <col min="2" max="2" width="10.5703125" style="2" bestFit="1" customWidth="1"/>
    <col min="3" max="16384" width="9.140625" style="2"/>
  </cols>
  <sheetData>
    <row r="1" spans="1:13">
      <c r="A1" s="31" t="s">
        <v>9</v>
      </c>
      <c r="B1" s="69" t="s">
        <v>8</v>
      </c>
      <c r="C1" s="70"/>
      <c r="D1" s="70"/>
      <c r="E1" s="70"/>
      <c r="F1" s="70"/>
      <c r="G1" s="71"/>
      <c r="H1" s="70" t="s">
        <v>7</v>
      </c>
      <c r="I1" s="70"/>
      <c r="J1" s="70"/>
      <c r="K1" s="70"/>
      <c r="L1" s="70"/>
      <c r="M1" s="72"/>
    </row>
    <row r="2" spans="1:13">
      <c r="A2" s="32" t="s">
        <v>10</v>
      </c>
      <c r="B2" s="73" t="s">
        <v>0</v>
      </c>
      <c r="C2" s="66"/>
      <c r="D2" s="67"/>
      <c r="E2" s="66" t="s">
        <v>4</v>
      </c>
      <c r="F2" s="66"/>
      <c r="G2" s="67"/>
      <c r="H2" s="73" t="s">
        <v>5</v>
      </c>
      <c r="I2" s="66"/>
      <c r="J2" s="67"/>
      <c r="K2" s="66" t="s">
        <v>6</v>
      </c>
      <c r="L2" s="66"/>
      <c r="M2" s="68"/>
    </row>
    <row r="3" spans="1:13">
      <c r="A3" s="4" t="s">
        <v>37</v>
      </c>
      <c r="B3" s="54">
        <v>30</v>
      </c>
      <c r="C3" s="55"/>
      <c r="D3" s="56"/>
      <c r="E3" s="55">
        <v>30</v>
      </c>
      <c r="F3" s="55"/>
      <c r="G3" s="56"/>
      <c r="H3" s="54">
        <v>30</v>
      </c>
      <c r="I3" s="55"/>
      <c r="J3" s="56"/>
      <c r="K3" s="55">
        <v>30</v>
      </c>
      <c r="L3" s="55"/>
      <c r="M3" s="57"/>
    </row>
    <row r="4" spans="1:13">
      <c r="A4" s="4" t="s">
        <v>38</v>
      </c>
      <c r="B4" s="54">
        <f>B3*1.47</f>
        <v>44.1</v>
      </c>
      <c r="C4" s="55"/>
      <c r="D4" s="56"/>
      <c r="E4" s="55">
        <f>E3*1.47</f>
        <v>44.1</v>
      </c>
      <c r="F4" s="55"/>
      <c r="G4" s="56"/>
      <c r="H4" s="54">
        <f>H3*1.47</f>
        <v>44.1</v>
      </c>
      <c r="I4" s="55"/>
      <c r="J4" s="56"/>
      <c r="K4" s="55">
        <f>K3*1.47</f>
        <v>44.1</v>
      </c>
      <c r="L4" s="55"/>
      <c r="M4" s="57"/>
    </row>
    <row r="5" spans="1:13">
      <c r="A5" s="4" t="s">
        <v>35</v>
      </c>
      <c r="B5" s="54">
        <v>10</v>
      </c>
      <c r="C5" s="55"/>
      <c r="D5" s="56"/>
      <c r="E5" s="55">
        <v>10</v>
      </c>
      <c r="F5" s="55"/>
      <c r="G5" s="56"/>
      <c r="H5" s="54">
        <v>20</v>
      </c>
      <c r="I5" s="55"/>
      <c r="J5" s="56"/>
      <c r="K5" s="55">
        <v>20</v>
      </c>
      <c r="L5" s="55"/>
      <c r="M5" s="57"/>
    </row>
    <row r="6" spans="1:13">
      <c r="A6" s="4" t="s">
        <v>36</v>
      </c>
      <c r="B6" s="54">
        <v>33</v>
      </c>
      <c r="C6" s="55"/>
      <c r="D6" s="56"/>
      <c r="E6" s="55">
        <v>33</v>
      </c>
      <c r="F6" s="55"/>
      <c r="G6" s="56"/>
      <c r="H6" s="54">
        <v>65</v>
      </c>
      <c r="I6" s="55"/>
      <c r="J6" s="56"/>
      <c r="K6" s="55">
        <v>65</v>
      </c>
      <c r="L6" s="55"/>
      <c r="M6" s="57"/>
    </row>
    <row r="7" spans="1:13">
      <c r="A7" s="4" t="s">
        <v>39</v>
      </c>
      <c r="B7" s="54">
        <v>25</v>
      </c>
      <c r="C7" s="55"/>
      <c r="D7" s="56"/>
      <c r="E7" s="55">
        <v>25</v>
      </c>
      <c r="F7" s="55"/>
      <c r="G7" s="56"/>
      <c r="H7" s="54">
        <v>12</v>
      </c>
      <c r="I7" s="55"/>
      <c r="J7" s="56"/>
      <c r="K7" s="55">
        <v>12</v>
      </c>
      <c r="L7" s="55"/>
      <c r="M7" s="57"/>
    </row>
    <row r="8" spans="1:13">
      <c r="A8" s="4" t="s">
        <v>34</v>
      </c>
      <c r="B8" s="54">
        <v>1</v>
      </c>
      <c r="C8" s="55"/>
      <c r="D8" s="56"/>
      <c r="E8" s="55">
        <v>1</v>
      </c>
      <c r="F8" s="55"/>
      <c r="G8" s="56"/>
      <c r="H8" s="54">
        <v>1</v>
      </c>
      <c r="I8" s="55"/>
      <c r="J8" s="56"/>
      <c r="K8" s="55">
        <v>1</v>
      </c>
      <c r="L8" s="55"/>
      <c r="M8" s="57"/>
    </row>
    <row r="9" spans="1:13">
      <c r="A9" s="4" t="s">
        <v>40</v>
      </c>
      <c r="B9" s="58">
        <f>B8+(B6+B7)/B4+B4/2/B5</f>
        <v>4.5201927437641727</v>
      </c>
      <c r="C9" s="40"/>
      <c r="D9" s="53"/>
      <c r="E9" s="40">
        <f>E8+(E6+E7)/E4+E4/2/E5</f>
        <v>4.5201927437641727</v>
      </c>
      <c r="F9" s="40"/>
      <c r="G9" s="53"/>
      <c r="H9" s="58">
        <f>H8+(H6+H7)/H4+H4/2/H5</f>
        <v>3.8485317460317461</v>
      </c>
      <c r="I9" s="40"/>
      <c r="J9" s="53"/>
      <c r="K9" s="40">
        <f>K8+(K6+K7)/K4+K4/2/K5</f>
        <v>3.8485317460317461</v>
      </c>
      <c r="L9" s="40"/>
      <c r="M9" s="41"/>
    </row>
    <row r="10" spans="1:13">
      <c r="A10" s="4" t="s">
        <v>46</v>
      </c>
      <c r="B10" s="54">
        <f>CEILING(B9,0.5)</f>
        <v>5</v>
      </c>
      <c r="C10" s="55"/>
      <c r="D10" s="56"/>
      <c r="E10" s="55">
        <f>CEILING(E9,0.5)</f>
        <v>5</v>
      </c>
      <c r="F10" s="55"/>
      <c r="G10" s="56"/>
      <c r="H10" s="54">
        <f>CEILING(H9,0.5)</f>
        <v>4</v>
      </c>
      <c r="I10" s="55"/>
      <c r="J10" s="56"/>
      <c r="K10" s="55">
        <f>CEILING(K9,0.5)</f>
        <v>4</v>
      </c>
      <c r="L10" s="55"/>
      <c r="M10" s="57"/>
    </row>
    <row r="11" spans="1:13">
      <c r="A11" s="32" t="s">
        <v>11</v>
      </c>
      <c r="B11" s="33" t="s">
        <v>1</v>
      </c>
      <c r="C11" s="34" t="s">
        <v>2</v>
      </c>
      <c r="D11" s="35" t="s">
        <v>3</v>
      </c>
      <c r="E11" s="34" t="s">
        <v>1</v>
      </c>
      <c r="F11" s="34" t="s">
        <v>2</v>
      </c>
      <c r="G11" s="35" t="s">
        <v>3</v>
      </c>
      <c r="H11" s="33" t="s">
        <v>1</v>
      </c>
      <c r="I11" s="34" t="s">
        <v>2</v>
      </c>
      <c r="J11" s="35" t="s">
        <v>3</v>
      </c>
      <c r="K11" s="34" t="s">
        <v>1</v>
      </c>
      <c r="L11" s="34" t="s">
        <v>2</v>
      </c>
      <c r="M11" s="36" t="s">
        <v>3</v>
      </c>
    </row>
    <row r="12" spans="1:13">
      <c r="A12" s="4" t="s">
        <v>14</v>
      </c>
      <c r="B12" s="15">
        <v>45</v>
      </c>
      <c r="C12" s="10">
        <v>770</v>
      </c>
      <c r="D12" s="22">
        <v>100</v>
      </c>
      <c r="E12" s="10">
        <v>85</v>
      </c>
      <c r="F12" s="10">
        <v>1010</v>
      </c>
      <c r="G12" s="22">
        <v>230</v>
      </c>
      <c r="H12" s="15">
        <v>50</v>
      </c>
      <c r="I12" s="10">
        <v>250</v>
      </c>
      <c r="J12" s="22">
        <v>45</v>
      </c>
      <c r="K12" s="10">
        <v>100</v>
      </c>
      <c r="L12" s="10">
        <v>30</v>
      </c>
      <c r="M12" s="5">
        <v>60</v>
      </c>
    </row>
    <row r="13" spans="1:13">
      <c r="A13" s="32" t="s">
        <v>12</v>
      </c>
      <c r="B13" s="33" t="s">
        <v>1</v>
      </c>
      <c r="C13" s="66" t="s">
        <v>15</v>
      </c>
      <c r="D13" s="67"/>
      <c r="E13" s="34" t="s">
        <v>1</v>
      </c>
      <c r="F13" s="66" t="s">
        <v>15</v>
      </c>
      <c r="G13" s="67"/>
      <c r="H13" s="33" t="s">
        <v>1</v>
      </c>
      <c r="I13" s="66" t="s">
        <v>15</v>
      </c>
      <c r="J13" s="67"/>
      <c r="K13" s="34" t="s">
        <v>1</v>
      </c>
      <c r="L13" s="66" t="s">
        <v>15</v>
      </c>
      <c r="M13" s="68"/>
    </row>
    <row r="14" spans="1:13">
      <c r="A14" s="4" t="s">
        <v>14</v>
      </c>
      <c r="B14" s="15">
        <f>B12</f>
        <v>45</v>
      </c>
      <c r="C14" s="55">
        <f>SUM(C12:D12)</f>
        <v>870</v>
      </c>
      <c r="D14" s="56"/>
      <c r="E14" s="10">
        <f>E12</f>
        <v>85</v>
      </c>
      <c r="F14" s="55">
        <f>SUM(F12:G12)</f>
        <v>1240</v>
      </c>
      <c r="G14" s="56"/>
      <c r="H14" s="15">
        <f>H12</f>
        <v>50</v>
      </c>
      <c r="I14" s="55">
        <f>SUM(I12:J12)</f>
        <v>295</v>
      </c>
      <c r="J14" s="56"/>
      <c r="K14" s="10">
        <f>K12</f>
        <v>100</v>
      </c>
      <c r="L14" s="55">
        <f>SUM(L12:M12)</f>
        <v>90</v>
      </c>
      <c r="M14" s="57"/>
    </row>
    <row r="15" spans="1:13">
      <c r="A15" s="4" t="s">
        <v>13</v>
      </c>
      <c r="B15" s="15">
        <v>1</v>
      </c>
      <c r="C15" s="55">
        <v>2</v>
      </c>
      <c r="D15" s="56"/>
      <c r="E15" s="10">
        <v>1</v>
      </c>
      <c r="F15" s="55">
        <v>2</v>
      </c>
      <c r="G15" s="56"/>
      <c r="H15" s="15">
        <v>1</v>
      </c>
      <c r="I15" s="55">
        <v>1</v>
      </c>
      <c r="J15" s="56"/>
      <c r="K15" s="10">
        <v>1</v>
      </c>
      <c r="L15" s="55">
        <v>1</v>
      </c>
      <c r="M15" s="57"/>
    </row>
    <row r="16" spans="1:13">
      <c r="A16" s="4" t="s">
        <v>18</v>
      </c>
      <c r="B16" s="15">
        <v>13</v>
      </c>
      <c r="C16" s="55">
        <v>13</v>
      </c>
      <c r="D16" s="56"/>
      <c r="E16" s="10">
        <v>13</v>
      </c>
      <c r="F16" s="55">
        <v>13</v>
      </c>
      <c r="G16" s="56"/>
      <c r="H16" s="15">
        <v>11</v>
      </c>
      <c r="I16" s="55">
        <v>11</v>
      </c>
      <c r="J16" s="56"/>
      <c r="K16" s="10">
        <v>11</v>
      </c>
      <c r="L16" s="55">
        <v>11</v>
      </c>
      <c r="M16" s="57"/>
    </row>
    <row r="17" spans="1:13">
      <c r="A17" s="4" t="s">
        <v>19</v>
      </c>
      <c r="B17" s="16">
        <v>0</v>
      </c>
      <c r="C17" s="59">
        <f>(10%*C12)/C14</f>
        <v>8.8505747126436787E-2</v>
      </c>
      <c r="D17" s="56"/>
      <c r="E17" s="12">
        <v>0</v>
      </c>
      <c r="F17" s="59">
        <f>(10%*F12)/F14</f>
        <v>8.1451612903225806E-2</v>
      </c>
      <c r="G17" s="56"/>
      <c r="H17" s="16">
        <v>0</v>
      </c>
      <c r="I17" s="59">
        <v>0</v>
      </c>
      <c r="J17" s="56"/>
      <c r="K17" s="12">
        <v>0</v>
      </c>
      <c r="L17" s="59">
        <v>0</v>
      </c>
      <c r="M17" s="57"/>
    </row>
    <row r="18" spans="1:13">
      <c r="A18" s="4" t="s">
        <v>22</v>
      </c>
      <c r="B18" s="16">
        <v>0.05</v>
      </c>
      <c r="C18" s="59">
        <v>0.05</v>
      </c>
      <c r="D18" s="56"/>
      <c r="E18" s="12">
        <v>-0.05</v>
      </c>
      <c r="F18" s="59">
        <v>-0.05</v>
      </c>
      <c r="G18" s="56"/>
      <c r="H18" s="16">
        <v>0</v>
      </c>
      <c r="I18" s="59">
        <v>0</v>
      </c>
      <c r="J18" s="56"/>
      <c r="K18" s="12">
        <v>0</v>
      </c>
      <c r="L18" s="59">
        <v>0</v>
      </c>
      <c r="M18" s="57"/>
    </row>
    <row r="19" spans="1:13">
      <c r="A19" s="4" t="s">
        <v>16</v>
      </c>
      <c r="B19" s="15">
        <f>1900*B15</f>
        <v>1900</v>
      </c>
      <c r="C19" s="55">
        <f>1900*C15</f>
        <v>3800</v>
      </c>
      <c r="D19" s="56"/>
      <c r="E19" s="10">
        <f>1900*E15</f>
        <v>1900</v>
      </c>
      <c r="F19" s="55">
        <f>1900*F15</f>
        <v>3800</v>
      </c>
      <c r="G19" s="56"/>
      <c r="H19" s="15">
        <f>1900*H15</f>
        <v>1900</v>
      </c>
      <c r="I19" s="55">
        <f>1900*I15</f>
        <v>1900</v>
      </c>
      <c r="J19" s="56"/>
      <c r="K19" s="10">
        <f>1900*K15</f>
        <v>1900</v>
      </c>
      <c r="L19" s="55">
        <f>1900*L15</f>
        <v>1900</v>
      </c>
      <c r="M19" s="57"/>
    </row>
    <row r="20" spans="1:13">
      <c r="A20" s="4" t="s">
        <v>17</v>
      </c>
      <c r="B20" s="17">
        <f>1+(B16-12)/30</f>
        <v>1.0333333333333334</v>
      </c>
      <c r="C20" s="40">
        <f>1+(C16-12)/30</f>
        <v>1.0333333333333334</v>
      </c>
      <c r="D20" s="53"/>
      <c r="E20" s="8">
        <f>1+(E16-12)/30</f>
        <v>1.0333333333333334</v>
      </c>
      <c r="F20" s="40">
        <f>1+(F16-12)/30</f>
        <v>1.0333333333333334</v>
      </c>
      <c r="G20" s="53"/>
      <c r="H20" s="17">
        <f>1+(H16-12)/30</f>
        <v>0.96666666666666667</v>
      </c>
      <c r="I20" s="40">
        <f>1+(I16-12)/30</f>
        <v>0.96666666666666667</v>
      </c>
      <c r="J20" s="53"/>
      <c r="K20" s="8">
        <f>1+(K16-12)/30</f>
        <v>0.96666666666666667</v>
      </c>
      <c r="L20" s="40">
        <f>1+(L16-12)/30</f>
        <v>0.96666666666666667</v>
      </c>
      <c r="M20" s="41"/>
    </row>
    <row r="21" spans="1:13">
      <c r="A21" s="4" t="s">
        <v>20</v>
      </c>
      <c r="B21" s="17">
        <f>1/(1+B17)</f>
        <v>1</v>
      </c>
      <c r="C21" s="40">
        <f>1/(1+C17)</f>
        <v>0.91869060190073915</v>
      </c>
      <c r="D21" s="53"/>
      <c r="E21" s="8">
        <f>1/(1+E17)</f>
        <v>1</v>
      </c>
      <c r="F21" s="40">
        <f>1/(1+F17)</f>
        <v>0.92468307233407898</v>
      </c>
      <c r="G21" s="53"/>
      <c r="H21" s="17">
        <f>1/(1+H17)</f>
        <v>1</v>
      </c>
      <c r="I21" s="40">
        <f>1/(1+I17)</f>
        <v>1</v>
      </c>
      <c r="J21" s="53"/>
      <c r="K21" s="8">
        <f>1/(1+K17)</f>
        <v>1</v>
      </c>
      <c r="L21" s="40">
        <f>1/(1+L17)</f>
        <v>1</v>
      </c>
      <c r="M21" s="41"/>
    </row>
    <row r="22" spans="1:13">
      <c r="A22" s="4" t="s">
        <v>21</v>
      </c>
      <c r="B22" s="17">
        <f>1-(B18/200%)</f>
        <v>0.97499999999999998</v>
      </c>
      <c r="C22" s="40">
        <f>1-(C18/200%)</f>
        <v>0.97499999999999998</v>
      </c>
      <c r="D22" s="53"/>
      <c r="E22" s="8">
        <f>1-(E18/200%)</f>
        <v>1.0249999999999999</v>
      </c>
      <c r="F22" s="40">
        <f>1-(F18/200%)</f>
        <v>1.0249999999999999</v>
      </c>
      <c r="G22" s="53"/>
      <c r="H22" s="17">
        <f>1-(H18/200%)</f>
        <v>1</v>
      </c>
      <c r="I22" s="40">
        <f>1-(I18/200%)</f>
        <v>1</v>
      </c>
      <c r="J22" s="53"/>
      <c r="K22" s="8">
        <f>1-(K18/200%)</f>
        <v>1</v>
      </c>
      <c r="L22" s="40">
        <f>1-(L18/200%)</f>
        <v>1</v>
      </c>
      <c r="M22" s="41"/>
    </row>
    <row r="23" spans="1:13">
      <c r="A23" s="4" t="s">
        <v>23</v>
      </c>
      <c r="B23" s="17">
        <v>0.95</v>
      </c>
      <c r="C23" s="40">
        <v>1</v>
      </c>
      <c r="D23" s="53"/>
      <c r="E23" s="8">
        <v>0.95</v>
      </c>
      <c r="F23" s="40">
        <v>1</v>
      </c>
      <c r="G23" s="53"/>
      <c r="H23" s="17">
        <v>0.95</v>
      </c>
      <c r="I23" s="40">
        <v>1</v>
      </c>
      <c r="J23" s="53"/>
      <c r="K23" s="8">
        <v>0.95</v>
      </c>
      <c r="L23" s="40">
        <v>1</v>
      </c>
      <c r="M23" s="41"/>
    </row>
    <row r="24" spans="1:13">
      <c r="A24" s="4" t="s">
        <v>24</v>
      </c>
      <c r="B24" s="17">
        <v>1</v>
      </c>
      <c r="C24" s="40">
        <f>1-0.15*(D12/C14)</f>
        <v>0.98275862068965514</v>
      </c>
      <c r="D24" s="53"/>
      <c r="E24" s="8">
        <v>1</v>
      </c>
      <c r="F24" s="40">
        <f>1-0.15*(G12/F14)</f>
        <v>0.9721774193548387</v>
      </c>
      <c r="G24" s="53"/>
      <c r="H24" s="17">
        <v>1</v>
      </c>
      <c r="I24" s="40">
        <f>1-0.15*(J12/I14)</f>
        <v>0.97711864406779658</v>
      </c>
      <c r="J24" s="53"/>
      <c r="K24" s="8">
        <v>1</v>
      </c>
      <c r="L24" s="40">
        <f>1-0.15*(M12/L14)</f>
        <v>0.9</v>
      </c>
      <c r="M24" s="41"/>
    </row>
    <row r="25" spans="1:13">
      <c r="A25" s="4" t="s">
        <v>25</v>
      </c>
      <c r="B25" s="18">
        <f>PRODUCT(B19:B24)</f>
        <v>1818.5374999999999</v>
      </c>
      <c r="C25" s="60">
        <f>PRODUCT(C19:D24)</f>
        <v>3456.5654699049633</v>
      </c>
      <c r="D25" s="64"/>
      <c r="E25" s="13">
        <f>PRODUCT(E19:E24)</f>
        <v>1911.7958333333333</v>
      </c>
      <c r="F25" s="60">
        <f>PRODUCT(F19:G24)</f>
        <v>3618.1480860054685</v>
      </c>
      <c r="G25" s="64"/>
      <c r="H25" s="18">
        <f>PRODUCT(H19:H24)</f>
        <v>1744.8333333333333</v>
      </c>
      <c r="I25" s="60">
        <f>PRODUCT(I19:J24)</f>
        <v>1794.6412429378531</v>
      </c>
      <c r="J25" s="64"/>
      <c r="K25" s="13">
        <f>PRODUCT(K19:K24)</f>
        <v>1744.8333333333333</v>
      </c>
      <c r="L25" s="60">
        <f>PRODUCT(L19:M24)</f>
        <v>1653</v>
      </c>
      <c r="M25" s="61"/>
    </row>
    <row r="26" spans="1:13">
      <c r="A26" s="4" t="s">
        <v>42</v>
      </c>
      <c r="B26" s="17">
        <f>B14/B25</f>
        <v>2.4745159228225979E-2</v>
      </c>
      <c r="C26" s="40">
        <f>C14/C25</f>
        <v>0.25169492884621109</v>
      </c>
      <c r="D26" s="53"/>
      <c r="E26" s="8">
        <f>E14/E25</f>
        <v>4.4460814548275947E-2</v>
      </c>
      <c r="F26" s="40">
        <f>F14/F25</f>
        <v>0.34271676297500386</v>
      </c>
      <c r="G26" s="53"/>
      <c r="H26" s="17">
        <f>H14/H25</f>
        <v>2.8656032094755948E-2</v>
      </c>
      <c r="I26" s="40">
        <f>I14/I25</f>
        <v>0.16437825730399511</v>
      </c>
      <c r="J26" s="53"/>
      <c r="K26" s="8">
        <f>K14/K25</f>
        <v>5.7312064189511895E-2</v>
      </c>
      <c r="L26" s="40">
        <f>L14/L25</f>
        <v>5.4446460980036297E-2</v>
      </c>
      <c r="M26" s="41"/>
    </row>
    <row r="27" spans="1:13">
      <c r="A27" s="4" t="s">
        <v>50</v>
      </c>
      <c r="B27" s="19">
        <f>D42/B48</f>
        <v>5.4878048780487805E-2</v>
      </c>
      <c r="C27" s="62">
        <f>E41/B48</f>
        <v>0.43931738635131518</v>
      </c>
      <c r="D27" s="65"/>
      <c r="E27" s="14">
        <f>D42/B48</f>
        <v>5.4878048780487805E-2</v>
      </c>
      <c r="F27" s="62">
        <f>E41/B48</f>
        <v>0.43931738635131518</v>
      </c>
      <c r="G27" s="65"/>
      <c r="H27" s="19">
        <f>B42/B48</f>
        <v>0.21341463414634146</v>
      </c>
      <c r="I27" s="62">
        <f>B42/B48</f>
        <v>0.21341463414634146</v>
      </c>
      <c r="J27" s="65"/>
      <c r="K27" s="14">
        <f>C42/B48</f>
        <v>7.3170731707317069E-2</v>
      </c>
      <c r="L27" s="62">
        <f>C42/B48</f>
        <v>7.3170731707317069E-2</v>
      </c>
      <c r="M27" s="63"/>
    </row>
    <row r="28" spans="1:13">
      <c r="A28" s="4" t="s">
        <v>48</v>
      </c>
      <c r="B28" s="18">
        <f>B27*B25</f>
        <v>99.797789634146341</v>
      </c>
      <c r="C28" s="60">
        <f>C27*C25</f>
        <v>1518.529307990854</v>
      </c>
      <c r="D28" s="64"/>
      <c r="E28" s="13">
        <f>E27*E25</f>
        <v>104.91562500000001</v>
      </c>
      <c r="F28" s="60">
        <f>F27*F25</f>
        <v>1589.515360575936</v>
      </c>
      <c r="G28" s="64"/>
      <c r="H28" s="18">
        <f>H27*H25</f>
        <v>372.3729674796748</v>
      </c>
      <c r="I28" s="60">
        <f>I27*I25</f>
        <v>383.00270428551744</v>
      </c>
      <c r="J28" s="64"/>
      <c r="K28" s="13">
        <f>K27*K25</f>
        <v>127.67073170731706</v>
      </c>
      <c r="L28" s="60">
        <f>L27*L25</f>
        <v>120.95121951219511</v>
      </c>
      <c r="M28" s="61"/>
    </row>
    <row r="29" spans="1:13">
      <c r="A29" s="4" t="s">
        <v>49</v>
      </c>
      <c r="B29" s="17">
        <f>B14/B28</f>
        <v>0.45091179038100671</v>
      </c>
      <c r="C29" s="40">
        <f>C14/C28</f>
        <v>0.57292275850183327</v>
      </c>
      <c r="D29" s="53"/>
      <c r="E29" s="8">
        <f>E14/E28</f>
        <v>0.81017484287969499</v>
      </c>
      <c r="F29" s="40">
        <f>F14/F28</f>
        <v>0.78011199561525812</v>
      </c>
      <c r="G29" s="53"/>
      <c r="H29" s="17">
        <f>H14/H28</f>
        <v>0.134273978958285</v>
      </c>
      <c r="I29" s="40">
        <f>I14/I28</f>
        <v>0.77022954851014847</v>
      </c>
      <c r="J29" s="53"/>
      <c r="K29" s="8">
        <f>K14/K28</f>
        <v>0.78326487725666261</v>
      </c>
      <c r="L29" s="40">
        <f>L14/L28</f>
        <v>0.74410163339382951</v>
      </c>
      <c r="M29" s="41"/>
    </row>
    <row r="30" spans="1:13">
      <c r="A30" s="4" t="s">
        <v>51</v>
      </c>
      <c r="B30" s="17">
        <f>$B$48/2*(1-B27)^2/(1-B27*MIN(B29,1))</f>
        <v>37.552723738109187</v>
      </c>
      <c r="C30" s="40">
        <f>$B$48/2*(1-C27)^2/(1-C27*MIN(C29,1))</f>
        <v>17.224211381183927</v>
      </c>
      <c r="D30" s="53"/>
      <c r="E30" s="8">
        <f>$B$48/2*(1-E27)^2/(1-E27*MIN(E29,1))</f>
        <v>38.32754968854848</v>
      </c>
      <c r="F30" s="40">
        <f>$B$48/2*(1-F27)^2/(1-F27*MIN(F29,1))</f>
        <v>19.609452968103884</v>
      </c>
      <c r="G30" s="53"/>
      <c r="H30" s="17">
        <f>$B$48/2*(1-H27)^2/(1-H27*MIN(H29,1))</f>
        <v>26.115751872621001</v>
      </c>
      <c r="I30" s="40">
        <f>$B$48/2*(1-I27)^2/(1-I27*MIN(I29,1))</f>
        <v>30.357489223457197</v>
      </c>
      <c r="J30" s="53"/>
      <c r="K30" s="8">
        <f>$B$48/2*(1-K27)^2/(1-K27*MIN(K29,1))</f>
        <v>37.360732918302936</v>
      </c>
      <c r="L30" s="40">
        <f>$B$48/2*(1-L27)^2/(1-L27*MIN(L29,1))</f>
        <v>37.247507139178879</v>
      </c>
      <c r="M30" s="41"/>
    </row>
    <row r="31" spans="1:13">
      <c r="A31" s="4" t="s">
        <v>52</v>
      </c>
      <c r="B31" s="17">
        <f>900*((B29-1)+SQRT((B29-1)^2+4*B29/B28))</f>
        <v>14.59601567003217</v>
      </c>
      <c r="C31" s="40">
        <f>900*((C29-1)+SQRT((C29-1)^2+4*C29/C28))</f>
        <v>1.5868774885811454</v>
      </c>
      <c r="D31" s="53"/>
      <c r="E31" s="8">
        <f>900*((E29-1)+SQRT((E29-1)^2+4*E29/E28))</f>
        <v>61.981313919732983</v>
      </c>
      <c r="F31" s="40">
        <f>900*((F29-1)+SQRT((F29-1)^2+4*F29/F28))</f>
        <v>3.9775945881345534</v>
      </c>
      <c r="G31" s="53"/>
      <c r="H31" s="17">
        <f>900*((H29-1)+SQRT((H29-1)^2+4*H29/H28))</f>
        <v>0.74937111671826706</v>
      </c>
      <c r="I31" s="40">
        <f>900*((I29-1)+SQRT((I29-1)^2+4*I29/I28))</f>
        <v>15.195888203707659</v>
      </c>
      <c r="J31" s="53"/>
      <c r="K31" s="8">
        <f>900*((K29-1)+SQRT((K29-1)^2+4*K29/K28))</f>
        <v>45.617755493563841</v>
      </c>
      <c r="L31" s="40">
        <f>900*((L29-1)+SQRT((L29-1)^2+4*L29/L28))</f>
        <v>39.829878347638058</v>
      </c>
      <c r="M31" s="41"/>
    </row>
    <row r="32" spans="1:13">
      <c r="A32" s="32" t="s">
        <v>53</v>
      </c>
      <c r="B32" s="20">
        <f>B30+B31</f>
        <v>52.148739408141353</v>
      </c>
      <c r="C32" s="38">
        <f>C30+C31</f>
        <v>18.811088869765072</v>
      </c>
      <c r="D32" s="49"/>
      <c r="E32" s="21">
        <f>E30+E31</f>
        <v>100.30886360828146</v>
      </c>
      <c r="F32" s="38">
        <f>F30+F31</f>
        <v>23.587047556238439</v>
      </c>
      <c r="G32" s="49"/>
      <c r="H32" s="20">
        <f>H30+H31</f>
        <v>26.86512298933927</v>
      </c>
      <c r="I32" s="38">
        <f>I30+I31</f>
        <v>45.553377427164854</v>
      </c>
      <c r="J32" s="49"/>
      <c r="K32" s="21">
        <f>K30+K31</f>
        <v>82.978488411866778</v>
      </c>
      <c r="L32" s="38">
        <f>L30+L31</f>
        <v>77.077385486816937</v>
      </c>
      <c r="M32" s="39"/>
    </row>
    <row r="33" spans="1:13">
      <c r="A33" s="32" t="s">
        <v>54</v>
      </c>
      <c r="B33" s="17" t="str">
        <f>LOOKUP(B32,Sheet2!$A$1:$A$6,Sheet2!$B$1:$B$6)</f>
        <v>D</v>
      </c>
      <c r="C33" s="40" t="str">
        <f>LOOKUP(C32,Sheet2!$A$1:$A$6,Sheet2!$B$1:$B$6)</f>
        <v>B</v>
      </c>
      <c r="D33" s="53"/>
      <c r="E33" s="8" t="str">
        <f>LOOKUP(E32,Sheet2!$A$1:$A$6,Sheet2!$B$1:$B$6)</f>
        <v>F</v>
      </c>
      <c r="F33" s="40" t="str">
        <f>LOOKUP(F32,Sheet2!$A$1:$A$6,Sheet2!$B$1:$B$6)</f>
        <v>C</v>
      </c>
      <c r="G33" s="53"/>
      <c r="H33" s="17" t="str">
        <f>LOOKUP(H32,Sheet2!$A$1:$A$6,Sheet2!$B$1:$B$6)</f>
        <v>C</v>
      </c>
      <c r="I33" s="40" t="str">
        <f>LOOKUP(I32,Sheet2!$A$1:$A$6,Sheet2!$B$1:$B$6)</f>
        <v>D</v>
      </c>
      <c r="J33" s="53"/>
      <c r="K33" s="8" t="str">
        <f>LOOKUP(K32,Sheet2!$A$1:$A$6,Sheet2!$B$1:$B$6)</f>
        <v>F</v>
      </c>
      <c r="L33" s="40" t="str">
        <f>LOOKUP(L32,Sheet2!$A$1:$A$6,Sheet2!$B$1:$B$6)</f>
        <v>E</v>
      </c>
      <c r="M33" s="41"/>
    </row>
    <row r="34" spans="1:13">
      <c r="A34" s="32" t="s">
        <v>61</v>
      </c>
      <c r="B34" s="48">
        <f>SUMPRODUCT(B32:D32,B14:D14)/SUM(B14:D14)</f>
        <v>20.450645453619643</v>
      </c>
      <c r="C34" s="38"/>
      <c r="D34" s="49"/>
      <c r="E34" s="38">
        <f>SUMPRODUCT(E32:G32,E14:G14)/SUM(E14:G14)</f>
        <v>28.508824435048748</v>
      </c>
      <c r="F34" s="38"/>
      <c r="G34" s="49"/>
      <c r="H34" s="48">
        <f>SUMPRODUCT(H32:J32,H14:J14)/SUM(H14:J14)</f>
        <v>42.844934755016212</v>
      </c>
      <c r="I34" s="38"/>
      <c r="J34" s="49"/>
      <c r="K34" s="38">
        <f>SUMPRODUCT(K32:M32,K14:M14)/SUM(K14:M14)</f>
        <v>80.183229131580021</v>
      </c>
      <c r="L34" s="38"/>
      <c r="M34" s="39"/>
    </row>
    <row r="35" spans="1:13">
      <c r="A35" s="32" t="s">
        <v>62</v>
      </c>
      <c r="B35" s="50" t="str">
        <f>LOOKUP(B34,Sheet2!$A$1:$A$6,Sheet2!$B$1:$B$6)</f>
        <v>C</v>
      </c>
      <c r="C35" s="51"/>
      <c r="D35" s="52"/>
      <c r="E35" s="51" t="str">
        <f>LOOKUP(E34,Sheet2!$A$1:$A$6,Sheet2!$B$1:$B$6)</f>
        <v>C</v>
      </c>
      <c r="F35" s="51"/>
      <c r="G35" s="52"/>
      <c r="H35" s="50" t="str">
        <f>LOOKUP(H34,Sheet2!$A$1:$A$6,Sheet2!$B$1:$B$6)</f>
        <v>D</v>
      </c>
      <c r="I35" s="51"/>
      <c r="J35" s="52"/>
      <c r="K35" s="40" t="str">
        <f>LOOKUP(K34,Sheet2!$A$1:$A$6,Sheet2!$B$1:$B$6)</f>
        <v>F</v>
      </c>
      <c r="L35" s="40"/>
      <c r="M35" s="41"/>
    </row>
    <row r="36" spans="1:13">
      <c r="A36" s="32" t="s">
        <v>63</v>
      </c>
      <c r="B36" s="42">
        <f>(B34*SUM(B12:D12)+E34*SUM(E12:G12)+H34*SUM(H12:J12)+K34*SUM(K12:M12))/SUM(B12:M12)</f>
        <v>31.172197834948594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4"/>
    </row>
    <row r="37" spans="1:13" ht="15.75" thickBot="1">
      <c r="A37" s="37" t="s">
        <v>64</v>
      </c>
      <c r="B37" s="45" t="str">
        <f>LOOKUP(B36,Sheet2!$A$1:$A$6,Sheet2!$B$1:$B$6)</f>
        <v>C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</row>
    <row r="38" spans="1:13" ht="15.75" thickBot="1"/>
    <row r="39" spans="1:13">
      <c r="A39" s="24"/>
      <c r="B39" s="25" t="s">
        <v>26</v>
      </c>
      <c r="C39" s="26" t="s">
        <v>27</v>
      </c>
      <c r="D39" s="26" t="s">
        <v>28</v>
      </c>
      <c r="E39" s="27" t="s">
        <v>29</v>
      </c>
    </row>
    <row r="40" spans="1:13">
      <c r="A40" s="4" t="s">
        <v>43</v>
      </c>
      <c r="B40" s="17">
        <f>MAX(H26:J26)</f>
        <v>0.16437825730399511</v>
      </c>
      <c r="C40" s="8">
        <f>MAX(K26:M26)</f>
        <v>5.7312064189511895E-2</v>
      </c>
      <c r="D40" s="8">
        <f>MAX(B26,E26)</f>
        <v>4.4460814548275947E-2</v>
      </c>
      <c r="E40" s="9">
        <f>MAX(C26,F26)</f>
        <v>0.34271676297500386</v>
      </c>
    </row>
    <row r="41" spans="1:13">
      <c r="A41" s="4" t="s">
        <v>47</v>
      </c>
      <c r="B41" s="17">
        <f>$B$50*B40/SUM($B$40:$E$40)</f>
        <v>17.278310261460572</v>
      </c>
      <c r="C41" s="8">
        <f t="shared" ref="C41:E41" si="0">$B$50*C40/SUM($B$40:$E$40)</f>
        <v>6.0242494538665659</v>
      </c>
      <c r="D41" s="8">
        <f t="shared" si="0"/>
        <v>4.6734146038650151</v>
      </c>
      <c r="E41" s="9">
        <f t="shared" si="0"/>
        <v>36.024025680807846</v>
      </c>
    </row>
    <row r="42" spans="1:13">
      <c r="A42" s="4" t="s">
        <v>30</v>
      </c>
      <c r="B42" s="15">
        <f>ROUND(2*B41,0)/2</f>
        <v>17.5</v>
      </c>
      <c r="C42" s="10">
        <f t="shared" ref="C42:E42" si="1">ROUND(2*C41,0)/2</f>
        <v>6</v>
      </c>
      <c r="D42" s="10">
        <f t="shared" si="1"/>
        <v>4.5</v>
      </c>
      <c r="E42" s="5">
        <f t="shared" si="1"/>
        <v>36</v>
      </c>
    </row>
    <row r="43" spans="1:13">
      <c r="A43" s="4" t="s">
        <v>31</v>
      </c>
      <c r="B43" s="15">
        <f>MIN(H10,5)</f>
        <v>4</v>
      </c>
      <c r="C43" s="10">
        <f>MIN(K10,5)</f>
        <v>4</v>
      </c>
      <c r="D43" s="10">
        <f>MIN(MAX(B10,E10),5)</f>
        <v>5</v>
      </c>
      <c r="E43" s="10">
        <f>MIN(MAX(B10,E10),5)</f>
        <v>5</v>
      </c>
    </row>
    <row r="44" spans="1:13" ht="15.75" thickBot="1">
      <c r="A44" s="6" t="s">
        <v>32</v>
      </c>
      <c r="B44" s="23">
        <f>H10-B43</f>
        <v>0</v>
      </c>
      <c r="C44" s="11">
        <f>K10-C43</f>
        <v>0</v>
      </c>
      <c r="D44" s="11">
        <f>MAX(B10,E10)-D43</f>
        <v>0</v>
      </c>
      <c r="E44" s="7">
        <f>MAX(B10,E10)-E43</f>
        <v>0</v>
      </c>
    </row>
    <row r="46" spans="1:13" ht="15.75" thickBot="1"/>
    <row r="47" spans="1:13">
      <c r="A47" s="28" t="s">
        <v>44</v>
      </c>
      <c r="B47" s="3">
        <f>(1.5*B49+5)/(1-SUM(B40:E40))</f>
        <v>81.813791094005339</v>
      </c>
    </row>
    <row r="48" spans="1:13">
      <c r="A48" s="29" t="s">
        <v>45</v>
      </c>
      <c r="B48" s="5">
        <f>ROUND(2*B47,0)/2</f>
        <v>82</v>
      </c>
    </row>
    <row r="49" spans="1:2">
      <c r="A49" s="29" t="s">
        <v>41</v>
      </c>
      <c r="B49" s="5">
        <f>SUM(B43:E44)</f>
        <v>18</v>
      </c>
    </row>
    <row r="50" spans="1:2" ht="15.75" thickBot="1">
      <c r="A50" s="30" t="s">
        <v>33</v>
      </c>
      <c r="B50" s="7">
        <f>B48-B49</f>
        <v>64</v>
      </c>
    </row>
  </sheetData>
  <mergeCells count="132">
    <mergeCell ref="B1:G1"/>
    <mergeCell ref="H1:M1"/>
    <mergeCell ref="B2:D2"/>
    <mergeCell ref="E2:G2"/>
    <mergeCell ref="H2:J2"/>
    <mergeCell ref="K2:M2"/>
    <mergeCell ref="C25:D25"/>
    <mergeCell ref="C26:D26"/>
    <mergeCell ref="C27:D27"/>
    <mergeCell ref="C28:D28"/>
    <mergeCell ref="C29:D29"/>
    <mergeCell ref="F14:G14"/>
    <mergeCell ref="F15:G15"/>
    <mergeCell ref="F19:G19"/>
    <mergeCell ref="F20:G20"/>
    <mergeCell ref="F21:G21"/>
    <mergeCell ref="C19:D19"/>
    <mergeCell ref="C20:D20"/>
    <mergeCell ref="C21:D21"/>
    <mergeCell ref="C22:D22"/>
    <mergeCell ref="C23:D23"/>
    <mergeCell ref="C24:D24"/>
    <mergeCell ref="C14:D14"/>
    <mergeCell ref="C15:D15"/>
    <mergeCell ref="F28:G28"/>
    <mergeCell ref="F29:G29"/>
    <mergeCell ref="I14:J14"/>
    <mergeCell ref="I15:J15"/>
    <mergeCell ref="I19:J19"/>
    <mergeCell ref="I20:J20"/>
    <mergeCell ref="I21:J21"/>
    <mergeCell ref="I22:J22"/>
    <mergeCell ref="I23:J23"/>
    <mergeCell ref="I24:J24"/>
    <mergeCell ref="F22:G22"/>
    <mergeCell ref="F23:G23"/>
    <mergeCell ref="F24:G24"/>
    <mergeCell ref="F25:G25"/>
    <mergeCell ref="F26:G26"/>
    <mergeCell ref="F27:G27"/>
    <mergeCell ref="L28:M28"/>
    <mergeCell ref="L29:M29"/>
    <mergeCell ref="C16:D16"/>
    <mergeCell ref="F16:G16"/>
    <mergeCell ref="I16:J16"/>
    <mergeCell ref="L16:M16"/>
    <mergeCell ref="C17:D17"/>
    <mergeCell ref="F17:G17"/>
    <mergeCell ref="I17:J17"/>
    <mergeCell ref="L17:M17"/>
    <mergeCell ref="L22:M22"/>
    <mergeCell ref="L23:M23"/>
    <mergeCell ref="L24:M24"/>
    <mergeCell ref="L25:M25"/>
    <mergeCell ref="L26:M26"/>
    <mergeCell ref="L27:M27"/>
    <mergeCell ref="I25:J25"/>
    <mergeCell ref="I26:J26"/>
    <mergeCell ref="I27:J27"/>
    <mergeCell ref="I28:J28"/>
    <mergeCell ref="I29:J29"/>
    <mergeCell ref="L19:M19"/>
    <mergeCell ref="L20:M20"/>
    <mergeCell ref="L21:M21"/>
    <mergeCell ref="E8:G8"/>
    <mergeCell ref="E9:G9"/>
    <mergeCell ref="C18:D18"/>
    <mergeCell ref="F18:G18"/>
    <mergeCell ref="I18:J18"/>
    <mergeCell ref="L18:M18"/>
    <mergeCell ref="B3:D3"/>
    <mergeCell ref="B4:D4"/>
    <mergeCell ref="B5:D5"/>
    <mergeCell ref="B6:D6"/>
    <mergeCell ref="B7:D7"/>
    <mergeCell ref="B8:D8"/>
    <mergeCell ref="L14:M14"/>
    <mergeCell ref="L15:M15"/>
    <mergeCell ref="C13:D13"/>
    <mergeCell ref="F13:G13"/>
    <mergeCell ref="I13:J13"/>
    <mergeCell ref="L13:M13"/>
    <mergeCell ref="B10:D10"/>
    <mergeCell ref="E10:G10"/>
    <mergeCell ref="H10:J10"/>
    <mergeCell ref="K10:M10"/>
    <mergeCell ref="H9:J9"/>
    <mergeCell ref="K3:M3"/>
    <mergeCell ref="K4:M4"/>
    <mergeCell ref="K5:M5"/>
    <mergeCell ref="K6:M6"/>
    <mergeCell ref="K7:M7"/>
    <mergeCell ref="K8:M8"/>
    <mergeCell ref="K9:M9"/>
    <mergeCell ref="H3:J3"/>
    <mergeCell ref="H4:J4"/>
    <mergeCell ref="H5:J5"/>
    <mergeCell ref="H6:J6"/>
    <mergeCell ref="H7:J7"/>
    <mergeCell ref="H8:J8"/>
    <mergeCell ref="B9:D9"/>
    <mergeCell ref="E3:G3"/>
    <mergeCell ref="E4:G4"/>
    <mergeCell ref="E5:G5"/>
    <mergeCell ref="E6:G6"/>
    <mergeCell ref="E7:G7"/>
    <mergeCell ref="L32:M32"/>
    <mergeCell ref="L31:M31"/>
    <mergeCell ref="C33:D33"/>
    <mergeCell ref="F33:G33"/>
    <mergeCell ref="I33:J33"/>
    <mergeCell ref="L33:M33"/>
    <mergeCell ref="C30:D30"/>
    <mergeCell ref="F30:G30"/>
    <mergeCell ref="I30:J30"/>
    <mergeCell ref="L30:M30"/>
    <mergeCell ref="C31:D31"/>
    <mergeCell ref="C32:D32"/>
    <mergeCell ref="F32:G32"/>
    <mergeCell ref="F31:G31"/>
    <mergeCell ref="I31:J31"/>
    <mergeCell ref="I32:J32"/>
    <mergeCell ref="K34:M34"/>
    <mergeCell ref="K35:M35"/>
    <mergeCell ref="B36:M36"/>
    <mergeCell ref="B37:M37"/>
    <mergeCell ref="B34:D34"/>
    <mergeCell ref="B35:D35"/>
    <mergeCell ref="E34:G34"/>
    <mergeCell ref="E35:G35"/>
    <mergeCell ref="H34:J34"/>
    <mergeCell ref="H35:J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6" sqref="B6"/>
    </sheetView>
  </sheetViews>
  <sheetFormatPr defaultRowHeight="15"/>
  <sheetData>
    <row r="1" spans="1:2">
      <c r="A1">
        <v>0</v>
      </c>
      <c r="B1" t="s">
        <v>55</v>
      </c>
    </row>
    <row r="2" spans="1:2">
      <c r="A2">
        <v>10</v>
      </c>
      <c r="B2" t="s">
        <v>56</v>
      </c>
    </row>
    <row r="3" spans="1:2">
      <c r="A3">
        <v>20</v>
      </c>
      <c r="B3" t="s">
        <v>57</v>
      </c>
    </row>
    <row r="4" spans="1:2">
      <c r="A4">
        <v>35</v>
      </c>
      <c r="B4" t="s">
        <v>58</v>
      </c>
    </row>
    <row r="5" spans="1:2">
      <c r="A5">
        <v>55</v>
      </c>
      <c r="B5" t="s">
        <v>59</v>
      </c>
    </row>
    <row r="6" spans="1:2">
      <c r="A6">
        <v>80</v>
      </c>
      <c r="B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Boyles</dc:creator>
  <cp:lastModifiedBy>Steve Boyles</cp:lastModifiedBy>
  <dcterms:created xsi:type="dcterms:W3CDTF">2011-03-08T19:50:07Z</dcterms:created>
  <dcterms:modified xsi:type="dcterms:W3CDTF">2011-03-09T16:35:41Z</dcterms:modified>
</cp:coreProperties>
</file>