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925" windowHeight="9630"/>
  </bookViews>
  <sheets>
    <sheet name="Problem 2" sheetId="4" r:id="rId1"/>
  </sheets>
  <calcPr calcId="144525" iterate="1"/>
</workbook>
</file>

<file path=xl/calcChain.xml><?xml version="1.0" encoding="utf-8"?>
<calcChain xmlns="http://schemas.openxmlformats.org/spreadsheetml/2006/main">
  <c r="K21" i="4" l="1"/>
  <c r="K20" i="4"/>
  <c r="K23" i="4" s="1"/>
  <c r="H21" i="4"/>
  <c r="H20" i="4"/>
  <c r="H23" i="4" s="1"/>
  <c r="E21" i="4"/>
  <c r="E20" i="4"/>
  <c r="E23" i="4" s="1"/>
  <c r="B23" i="4"/>
  <c r="B22" i="4"/>
  <c r="B21" i="4"/>
  <c r="B20" i="4"/>
  <c r="K22" i="4" l="1"/>
  <c r="H22" i="4"/>
  <c r="E22" i="4"/>
  <c r="C3" i="4"/>
  <c r="B13" i="4" l="1"/>
  <c r="C13" i="4" s="1"/>
  <c r="B12" i="4"/>
  <c r="C12" i="4" s="1"/>
  <c r="B11" i="4"/>
  <c r="C11" i="4" s="1"/>
  <c r="B10" i="4"/>
  <c r="C10" i="4" s="1"/>
  <c r="B9" i="4"/>
  <c r="C9" i="4" s="1"/>
  <c r="C5" i="4" l="1"/>
  <c r="C7" i="4"/>
  <c r="C6" i="4" l="1"/>
  <c r="B19" i="4" l="1"/>
  <c r="D3" i="4" s="1"/>
  <c r="D5" i="4" s="1"/>
  <c r="D12" i="4" s="1"/>
  <c r="B24" i="4" l="1"/>
  <c r="D6" i="4"/>
  <c r="D7" i="4" s="1"/>
  <c r="D10" i="4" s="1"/>
  <c r="D9" i="4" l="1"/>
  <c r="D11" i="4"/>
  <c r="D13" i="4"/>
  <c r="E3" i="4" l="1"/>
  <c r="F3" i="4" s="1"/>
  <c r="E6" i="4"/>
  <c r="E9" i="4"/>
  <c r="F9" i="4" s="1"/>
  <c r="E7" i="4" l="1"/>
  <c r="E5" i="4"/>
  <c r="E10" i="4"/>
  <c r="F10" i="4" s="1"/>
  <c r="E11" i="4"/>
  <c r="F11" i="4" s="1"/>
  <c r="E13" i="4"/>
  <c r="F13" i="4" s="1"/>
  <c r="E12" i="4"/>
  <c r="F12" i="4" s="1"/>
  <c r="F7" i="4" l="1"/>
  <c r="E16" i="4"/>
  <c r="F5" i="4"/>
  <c r="F6" i="4"/>
  <c r="E19" i="4" l="1"/>
  <c r="G3" i="4" s="1"/>
  <c r="E24" i="4" l="1"/>
  <c r="G5" i="4" l="1"/>
  <c r="G6" i="4" s="1"/>
  <c r="G11" i="4" s="1"/>
  <c r="G7" i="4" l="1"/>
  <c r="G10" i="4" s="1"/>
  <c r="G12" i="4"/>
  <c r="G9" i="4"/>
  <c r="G13" i="4" l="1"/>
  <c r="H5" i="4" s="1"/>
  <c r="H3" i="4" l="1"/>
  <c r="I3" i="4" s="1"/>
  <c r="H9" i="4"/>
  <c r="I9" i="4" s="1"/>
  <c r="H13" i="4"/>
  <c r="H12" i="4"/>
  <c r="I12" i="4" s="1"/>
  <c r="H6" i="4"/>
  <c r="H11" i="4"/>
  <c r="I11" i="4" s="1"/>
  <c r="H10" i="4"/>
  <c r="H7" i="4"/>
  <c r="I10" i="4" l="1"/>
  <c r="I13" i="4"/>
  <c r="I5" i="4"/>
  <c r="I7" i="4" l="1"/>
  <c r="H16" i="4"/>
  <c r="I6" i="4"/>
  <c r="H19" i="4" l="1"/>
  <c r="J3" i="4" s="1"/>
  <c r="J5" i="4" s="1"/>
  <c r="J12" i="4" s="1"/>
  <c r="J6" i="4" l="1"/>
  <c r="J7" i="4" s="1"/>
  <c r="J10" i="4" s="1"/>
  <c r="H24" i="4"/>
  <c r="J11" i="4" l="1"/>
  <c r="J13" i="4"/>
  <c r="J9" i="4"/>
  <c r="K12" i="4" l="1"/>
  <c r="L12" i="4" s="1"/>
  <c r="K6" i="4"/>
  <c r="K3" i="4"/>
  <c r="L3" i="4" l="1"/>
  <c r="K10" i="4"/>
  <c r="L10" i="4" s="1"/>
  <c r="K7" i="4"/>
  <c r="K11" i="4"/>
  <c r="L11" i="4" s="1"/>
  <c r="K5" i="4"/>
  <c r="K13" i="4"/>
  <c r="L13" i="4" s="1"/>
  <c r="K9" i="4"/>
  <c r="L9" i="4" l="1"/>
  <c r="L5" i="4" s="1"/>
  <c r="L7" i="4"/>
  <c r="L6" i="4" l="1"/>
  <c r="K19" i="4" s="1"/>
  <c r="K16" i="4"/>
  <c r="K24" i="4" l="1"/>
</calcChain>
</file>

<file path=xl/sharedStrings.xml><?xml version="1.0" encoding="utf-8"?>
<sst xmlns="http://schemas.openxmlformats.org/spreadsheetml/2006/main" count="83" uniqueCount="35">
  <si>
    <t>Link</t>
  </si>
  <si>
    <t>(1,2)</t>
  </si>
  <si>
    <t>(1,3)</t>
  </si>
  <si>
    <t>(2,3)</t>
  </si>
  <si>
    <t>(3,4)</t>
  </si>
  <si>
    <t>Path</t>
  </si>
  <si>
    <t>[1,2,4]</t>
  </si>
  <si>
    <t>[1,2,3,4]</t>
  </si>
  <si>
    <t>[1,3,4]</t>
  </si>
  <si>
    <t>Initial solution</t>
  </si>
  <si>
    <t>Flow</t>
  </si>
  <si>
    <t>Time</t>
  </si>
  <si>
    <t>(2,4)</t>
  </si>
  <si>
    <t>Iteration 1</t>
  </si>
  <si>
    <t>Target flow</t>
  </si>
  <si>
    <t>Lambda</t>
  </si>
  <si>
    <t>New flow</t>
  </si>
  <si>
    <t>New time</t>
  </si>
  <si>
    <t>Kappa (new)</t>
  </si>
  <si>
    <t>AEC</t>
  </si>
  <si>
    <t>Relative gap</t>
  </si>
  <si>
    <t>New solution properties</t>
  </si>
  <si>
    <t>Iteration 2</t>
  </si>
  <si>
    <t>Iteration 3</t>
  </si>
  <si>
    <t>Demand</t>
  </si>
  <si>
    <t>1 -&gt; 4</t>
  </si>
  <si>
    <t>OD Pair</t>
  </si>
  <si>
    <t>Target demand</t>
  </si>
  <si>
    <t>New demand</t>
  </si>
  <si>
    <r>
      <t>D</t>
    </r>
    <r>
      <rPr>
        <vertAlign val="superscript"/>
        <sz val="11"/>
        <color theme="1"/>
        <rFont val="Calibri"/>
        <family val="2"/>
        <scheme val="minor"/>
      </rPr>
      <t>-1</t>
    </r>
  </si>
  <si>
    <t>Initial solution properties</t>
  </si>
  <si>
    <t>Misplaced flow</t>
  </si>
  <si>
    <t>TSTT</t>
  </si>
  <si>
    <t>SPTT</t>
  </si>
  <si>
    <t>Equation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</si>
</sst>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4" borderId="0" xfId="0" applyFill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2" borderId="1" xfId="0" applyFill="1" applyBorder="1"/>
    <xf numFmtId="0" fontId="1" fillId="3" borderId="11" xfId="0" applyFon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4" xfId="0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" fillId="3" borderId="3" xfId="0" applyFont="1" applyFill="1" applyBorder="1"/>
    <xf numFmtId="0" fontId="0" fillId="3" borderId="14" xfId="0" applyFill="1" applyBorder="1" applyAlignment="1">
      <alignment horizontal="right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12" sqref="O12"/>
    </sheetView>
  </sheetViews>
  <sheetFormatPr defaultColWidth="8.85546875" defaultRowHeight="15" x14ac:dyDescent="0.25"/>
  <cols>
    <col min="1" max="1" width="14.5703125" style="1" bestFit="1" customWidth="1"/>
    <col min="2" max="2" width="11.140625" style="1" customWidth="1"/>
    <col min="3" max="3" width="8.85546875" style="1"/>
    <col min="4" max="4" width="14.42578125" style="1" customWidth="1"/>
    <col min="5" max="5" width="12" style="1" bestFit="1" customWidth="1"/>
    <col min="6" max="6" width="8.85546875" style="1"/>
    <col min="7" max="7" width="14.5703125" style="1" bestFit="1" customWidth="1"/>
    <col min="8" max="8" width="12.85546875" style="1" bestFit="1" customWidth="1"/>
    <col min="9" max="9" width="8.85546875" style="1"/>
    <col min="10" max="10" width="14.5703125" style="1" bestFit="1" customWidth="1"/>
    <col min="11" max="11" width="12.85546875" style="1" bestFit="1" customWidth="1"/>
    <col min="12" max="16384" width="8.85546875" style="1"/>
  </cols>
  <sheetData>
    <row r="1" spans="1:12" thickBot="1" x14ac:dyDescent="0.35">
      <c r="A1" s="10"/>
      <c r="B1" s="28" t="s">
        <v>9</v>
      </c>
      <c r="C1" s="29"/>
      <c r="D1" s="28" t="s">
        <v>13</v>
      </c>
      <c r="E1" s="30"/>
      <c r="F1" s="29"/>
      <c r="G1" s="30" t="s">
        <v>22</v>
      </c>
      <c r="H1" s="30"/>
      <c r="I1" s="30"/>
      <c r="J1" s="28" t="s">
        <v>23</v>
      </c>
      <c r="K1" s="30"/>
      <c r="L1" s="29"/>
    </row>
    <row r="2" spans="1:12" ht="16.149999999999999" x14ac:dyDescent="0.3">
      <c r="A2" s="21" t="s">
        <v>26</v>
      </c>
      <c r="B2" s="23" t="s">
        <v>24</v>
      </c>
      <c r="C2" s="24" t="s">
        <v>29</v>
      </c>
      <c r="D2" s="23" t="s">
        <v>27</v>
      </c>
      <c r="E2" s="25" t="s">
        <v>28</v>
      </c>
      <c r="F2" s="24" t="s">
        <v>29</v>
      </c>
      <c r="G2" s="23" t="s">
        <v>27</v>
      </c>
      <c r="H2" s="25" t="s">
        <v>28</v>
      </c>
      <c r="I2" s="24" t="s">
        <v>29</v>
      </c>
      <c r="J2" s="23" t="s">
        <v>27</v>
      </c>
      <c r="K2" s="25" t="s">
        <v>28</v>
      </c>
      <c r="L2" s="24" t="s">
        <v>29</v>
      </c>
    </row>
    <row r="3" spans="1:12" ht="14.45" x14ac:dyDescent="0.3">
      <c r="A3" s="22" t="s">
        <v>25</v>
      </c>
      <c r="B3" s="26">
        <v>10</v>
      </c>
      <c r="C3" s="27">
        <f>10*(15-B3)</f>
        <v>50</v>
      </c>
      <c r="D3" s="26">
        <f>MAX(15-B19/10,0)</f>
        <v>9</v>
      </c>
      <c r="E3" s="18">
        <f>E$15*D3+(1-E$15)*B3</f>
        <v>9.5802160000000001</v>
      </c>
      <c r="F3" s="27">
        <f>10*(15-E3)</f>
        <v>54.197839999999999</v>
      </c>
      <c r="G3" s="26">
        <f>MAX(15-E19/10,0)</f>
        <v>3.6176239999999993</v>
      </c>
      <c r="H3" s="18">
        <f>H$15*G3+(1-H$15)*E3</f>
        <v>6.0146933106559999</v>
      </c>
      <c r="I3" s="27">
        <f>10*(15-H3)</f>
        <v>89.853066893440001</v>
      </c>
      <c r="J3" s="26">
        <f>MAX(15-H19/10,0)</f>
        <v>7.2258834308400015</v>
      </c>
      <c r="K3" s="18">
        <f>K$15*J3+(1-K$15)*H3</f>
        <v>6.2416267363341547</v>
      </c>
      <c r="L3" s="27">
        <f>10*(15-K3)</f>
        <v>87.583732636658453</v>
      </c>
    </row>
    <row r="4" spans="1:12" ht="14.45" x14ac:dyDescent="0.3">
      <c r="A4" s="11" t="s">
        <v>5</v>
      </c>
      <c r="B4" s="12" t="s">
        <v>10</v>
      </c>
      <c r="C4" s="13" t="s">
        <v>11</v>
      </c>
      <c r="D4" s="12" t="s">
        <v>14</v>
      </c>
      <c r="E4" s="14" t="s">
        <v>16</v>
      </c>
      <c r="F4" s="13" t="s">
        <v>17</v>
      </c>
      <c r="G4" s="14" t="s">
        <v>14</v>
      </c>
      <c r="H4" s="14" t="s">
        <v>16</v>
      </c>
      <c r="I4" s="14" t="s">
        <v>17</v>
      </c>
      <c r="J4" s="12" t="s">
        <v>14</v>
      </c>
      <c r="K4" s="14" t="s">
        <v>16</v>
      </c>
      <c r="L4" s="13" t="s">
        <v>17</v>
      </c>
    </row>
    <row r="5" spans="1:12" ht="14.45" x14ac:dyDescent="0.3">
      <c r="A5" s="8" t="s">
        <v>6</v>
      </c>
      <c r="B5" s="2">
        <v>0</v>
      </c>
      <c r="C5" s="3">
        <f>C9+C12</f>
        <v>60</v>
      </c>
      <c r="D5" s="2">
        <f>IF(C5=MIN(C5:C7),D3,0)</f>
        <v>9</v>
      </c>
      <c r="E5" s="4">
        <f>E$15*D5+(1-E$15)*B5</f>
        <v>3.7780559999999999</v>
      </c>
      <c r="F5" s="3">
        <f>F9+F12</f>
        <v>120.44889599999999</v>
      </c>
      <c r="G5" s="2">
        <f>IF(F5=MIN(F5:F7),G3,0)</f>
        <v>0</v>
      </c>
      <c r="H5" s="4">
        <f>H$15*G5+(1-H$15)*E5</f>
        <v>1.5188465170079999</v>
      </c>
      <c r="I5" s="4">
        <f>I9+I12</f>
        <v>84.301544272127998</v>
      </c>
      <c r="J5" s="2">
        <f>IF(I5=MIN(I5:I7),J3,0)</f>
        <v>0</v>
      </c>
      <c r="K5" s="4">
        <f>K$15*J5+(1-K$15)*H5</f>
        <v>1.234269358195313</v>
      </c>
      <c r="L5" s="3">
        <f>L9+L12</f>
        <v>100.05636607816359</v>
      </c>
    </row>
    <row r="6" spans="1:12" ht="14.45" x14ac:dyDescent="0.3">
      <c r="A6" s="8" t="s">
        <v>7</v>
      </c>
      <c r="B6" s="2">
        <v>0</v>
      </c>
      <c r="C6" s="3">
        <f>C9+C11+C13</f>
        <v>110</v>
      </c>
      <c r="D6" s="2">
        <f>IF(C6=MIN(C5:C7),D3-D5,0)</f>
        <v>0</v>
      </c>
      <c r="E6" s="4">
        <f>E$15*D6+(1-E$15)*B6</f>
        <v>0</v>
      </c>
      <c r="F6" s="3">
        <f>F9+F11+F13</f>
        <v>124.69244</v>
      </c>
      <c r="G6" s="2">
        <f>IF(F6=MIN(F5:F7),G3-G5,0)</f>
        <v>0</v>
      </c>
      <c r="H6" s="4">
        <f>H$15*G6+(1-H$15)*E6</f>
        <v>0</v>
      </c>
      <c r="I6" s="4">
        <f>I9+I11+I13</f>
        <v>77.741165691599988</v>
      </c>
      <c r="J6" s="2">
        <f>IF(I6=MIN(I5:I7),J3-J5,0)</f>
        <v>7.2258834308400015</v>
      </c>
      <c r="K6" s="4">
        <f>K$15*J6+(1-K$15)*H6</f>
        <v>1.353870423135906</v>
      </c>
      <c r="L6" s="3">
        <f>L9+L11+L13</f>
        <v>100.24954092449261</v>
      </c>
    </row>
    <row r="7" spans="1:12" ht="14.45" x14ac:dyDescent="0.3">
      <c r="A7" s="8" t="s">
        <v>8</v>
      </c>
      <c r="B7" s="2">
        <v>10</v>
      </c>
      <c r="C7" s="3">
        <f>C10+C13</f>
        <v>160</v>
      </c>
      <c r="D7" s="2">
        <f>IF(C7=MIN(C5:C7),D3-SUM(D5:D6),0)</f>
        <v>0</v>
      </c>
      <c r="E7" s="4">
        <f>E$15*D7+(1-E$15)*B7</f>
        <v>5.8021600000000007</v>
      </c>
      <c r="F7" s="3">
        <f>F10+F13</f>
        <v>113.82376000000001</v>
      </c>
      <c r="G7" s="2">
        <f>IF(F7=MIN(F5:F7),G3-SUM(G5:G6),0)</f>
        <v>3.6176239999999993</v>
      </c>
      <c r="H7" s="4">
        <f>H$15*G7+(1-H$15)*E7</f>
        <v>4.4958467936479991</v>
      </c>
      <c r="I7" s="4">
        <f>I10+I13</f>
        <v>99.45431473012799</v>
      </c>
      <c r="J7" s="2">
        <f>IF(I7=MIN(I5:I7),J3-SUM(J5:J6),0)</f>
        <v>0</v>
      </c>
      <c r="K7" s="4">
        <f>K$15*J7+(1-K$15)*H7</f>
        <v>3.6534869550029354</v>
      </c>
      <c r="L7" s="3">
        <f>L10+L13</f>
        <v>103.72706073639135</v>
      </c>
    </row>
    <row r="8" spans="1:12" ht="14.45" x14ac:dyDescent="0.3">
      <c r="A8" s="15" t="s">
        <v>0</v>
      </c>
      <c r="B8" s="16" t="s">
        <v>10</v>
      </c>
      <c r="C8" s="17" t="s">
        <v>11</v>
      </c>
      <c r="D8" s="16" t="s">
        <v>14</v>
      </c>
      <c r="E8" s="18" t="s">
        <v>16</v>
      </c>
      <c r="F8" s="17" t="s">
        <v>17</v>
      </c>
      <c r="G8" s="18" t="s">
        <v>14</v>
      </c>
      <c r="H8" s="18" t="s">
        <v>16</v>
      </c>
      <c r="I8" s="18" t="s">
        <v>17</v>
      </c>
      <c r="J8" s="16" t="s">
        <v>14</v>
      </c>
      <c r="K8" s="18" t="s">
        <v>16</v>
      </c>
      <c r="L8" s="17" t="s">
        <v>17</v>
      </c>
    </row>
    <row r="9" spans="1:12" ht="14.45" x14ac:dyDescent="0.3">
      <c r="A9" s="8" t="s">
        <v>1</v>
      </c>
      <c r="B9" s="2">
        <f>B5+B6</f>
        <v>0</v>
      </c>
      <c r="C9" s="3">
        <f>15*B9</f>
        <v>0</v>
      </c>
      <c r="D9" s="2">
        <f>D5+D6</f>
        <v>9</v>
      </c>
      <c r="E9" s="4">
        <f>E$15*D9+(1-E$15)*B9</f>
        <v>3.7780559999999999</v>
      </c>
      <c r="F9" s="3">
        <f>15*E9</f>
        <v>56.670839999999998</v>
      </c>
      <c r="G9" s="4">
        <f>G5+G6</f>
        <v>0</v>
      </c>
      <c r="H9" s="4">
        <f>H$15*G9+(1-H$15)*E9</f>
        <v>1.5188465170079999</v>
      </c>
      <c r="I9" s="3">
        <f>15*H9</f>
        <v>22.782697755119997</v>
      </c>
      <c r="J9" s="2">
        <f>J5+J6</f>
        <v>7.2258834308400015</v>
      </c>
      <c r="K9" s="4">
        <f>K$15*J9+(1-K$15)*H9</f>
        <v>2.5881397813312192</v>
      </c>
      <c r="L9" s="3">
        <f>15*K9</f>
        <v>38.822096719968286</v>
      </c>
    </row>
    <row r="10" spans="1:12" ht="14.45" x14ac:dyDescent="0.3">
      <c r="A10" s="8" t="s">
        <v>2</v>
      </c>
      <c r="B10" s="2">
        <f>B7</f>
        <v>10</v>
      </c>
      <c r="C10" s="3">
        <f>50+B10</f>
        <v>60</v>
      </c>
      <c r="D10" s="2">
        <f>D7</f>
        <v>0</v>
      </c>
      <c r="E10" s="4">
        <f t="shared" ref="E10:E13" si="0">E$15*D10+(1-E$15)*B10</f>
        <v>5.8021600000000007</v>
      </c>
      <c r="F10" s="3">
        <f>50+E10</f>
        <v>55.802160000000001</v>
      </c>
      <c r="G10" s="4">
        <f>G7</f>
        <v>3.6176239999999993</v>
      </c>
      <c r="H10" s="4">
        <f t="shared" ref="H10:H13" si="1">H$15*G10+(1-H$15)*E10</f>
        <v>4.4958467936479991</v>
      </c>
      <c r="I10" s="3">
        <f>50+H10</f>
        <v>54.495846793647999</v>
      </c>
      <c r="J10" s="2">
        <f>J7</f>
        <v>0</v>
      </c>
      <c r="K10" s="4">
        <f t="shared" ref="K10:K13" si="2">K$15*J10+(1-K$15)*H10</f>
        <v>3.6534869550029354</v>
      </c>
      <c r="L10" s="3">
        <f>50+K10</f>
        <v>53.653486955002933</v>
      </c>
    </row>
    <row r="11" spans="1:12" ht="14.45" x14ac:dyDescent="0.3">
      <c r="A11" s="8" t="s">
        <v>3</v>
      </c>
      <c r="B11" s="2">
        <f>B6</f>
        <v>0</v>
      </c>
      <c r="C11" s="3">
        <f>10+B11</f>
        <v>10</v>
      </c>
      <c r="D11" s="2">
        <f>D6</f>
        <v>0</v>
      </c>
      <c r="E11" s="4">
        <f t="shared" si="0"/>
        <v>0</v>
      </c>
      <c r="F11" s="3">
        <f>10+E11</f>
        <v>10</v>
      </c>
      <c r="G11" s="4">
        <f>G6</f>
        <v>0</v>
      </c>
      <c r="H11" s="4">
        <f t="shared" si="1"/>
        <v>0</v>
      </c>
      <c r="I11" s="3">
        <f>10+H11</f>
        <v>10</v>
      </c>
      <c r="J11" s="2">
        <f>J6</f>
        <v>7.2258834308400015</v>
      </c>
      <c r="K11" s="4">
        <f t="shared" si="2"/>
        <v>1.353870423135906</v>
      </c>
      <c r="L11" s="3">
        <f>10+K11</f>
        <v>11.353870423135906</v>
      </c>
    </row>
    <row r="12" spans="1:12" ht="14.45" x14ac:dyDescent="0.3">
      <c r="A12" s="8" t="s">
        <v>12</v>
      </c>
      <c r="B12" s="2">
        <f>B5</f>
        <v>0</v>
      </c>
      <c r="C12" s="3">
        <f>60+B12</f>
        <v>60</v>
      </c>
      <c r="D12" s="2">
        <f>D5</f>
        <v>9</v>
      </c>
      <c r="E12" s="4">
        <f t="shared" si="0"/>
        <v>3.7780559999999999</v>
      </c>
      <c r="F12" s="3">
        <f>60+E12</f>
        <v>63.778055999999999</v>
      </c>
      <c r="G12" s="4">
        <f>G5</f>
        <v>0</v>
      </c>
      <c r="H12" s="4">
        <f t="shared" si="1"/>
        <v>1.5188465170079999</v>
      </c>
      <c r="I12" s="3">
        <f>60+H12</f>
        <v>61.518846517008001</v>
      </c>
      <c r="J12" s="2">
        <f>J5</f>
        <v>0</v>
      </c>
      <c r="K12" s="4">
        <f t="shared" si="2"/>
        <v>1.234269358195313</v>
      </c>
      <c r="L12" s="3">
        <f>60+K12</f>
        <v>61.234269358195313</v>
      </c>
    </row>
    <row r="13" spans="1:12" thickBot="1" x14ac:dyDescent="0.35">
      <c r="A13" s="9" t="s">
        <v>4</v>
      </c>
      <c r="B13" s="5">
        <f>B6+B7</f>
        <v>10</v>
      </c>
      <c r="C13" s="6">
        <f>10*B13</f>
        <v>100</v>
      </c>
      <c r="D13" s="5">
        <f>D6+D7</f>
        <v>0</v>
      </c>
      <c r="E13" s="7">
        <f t="shared" si="0"/>
        <v>5.8021600000000007</v>
      </c>
      <c r="F13" s="6">
        <f>10*E13</f>
        <v>58.021600000000007</v>
      </c>
      <c r="G13" s="7">
        <f>G6+G7</f>
        <v>3.6176239999999993</v>
      </c>
      <c r="H13" s="7">
        <f t="shared" si="1"/>
        <v>4.4958467936479991</v>
      </c>
      <c r="I13" s="6">
        <f>10*H13</f>
        <v>44.958467936479991</v>
      </c>
      <c r="J13" s="5">
        <f>J6+J7</f>
        <v>7.2258834308400015</v>
      </c>
      <c r="K13" s="7">
        <f t="shared" si="2"/>
        <v>5.0073573781388419</v>
      </c>
      <c r="L13" s="6">
        <f>10*K13</f>
        <v>50.073573781388419</v>
      </c>
    </row>
    <row r="14" spans="1:12" thickBot="1" x14ac:dyDescent="0.35"/>
    <row r="15" spans="1:12" ht="14.45" x14ac:dyDescent="0.3">
      <c r="D15" s="19" t="s">
        <v>15</v>
      </c>
      <c r="E15" s="20">
        <v>0.41978399999999999</v>
      </c>
      <c r="G15" s="19" t="s">
        <v>15</v>
      </c>
      <c r="H15" s="20">
        <v>0.59798200000000001</v>
      </c>
      <c r="J15" s="19" t="s">
        <v>15</v>
      </c>
      <c r="K15" s="20">
        <v>0.187364</v>
      </c>
    </row>
    <row r="16" spans="1:12" ht="15.75" thickBot="1" x14ac:dyDescent="0.3">
      <c r="D16" s="9" t="s">
        <v>34</v>
      </c>
      <c r="E16" s="6">
        <f>SUMPRODUCT(F9:F13,D9:D13-B9:B13)-F3*(D3-B3)</f>
        <v>3.0399999987196225E-4</v>
      </c>
      <c r="G16" s="9" t="s">
        <v>34</v>
      </c>
      <c r="H16" s="6">
        <f>SUMPRODUCT(I9:I13,G9:G13-E9:E13)-I3*(G3-E3)</f>
        <v>-3.0819558367056743E-4</v>
      </c>
      <c r="J16" s="9" t="s">
        <v>34</v>
      </c>
      <c r="K16" s="6">
        <f>SUMPRODUCT(L9:L13,J9:J13-H9:H13)-L3*(J3-H3)</f>
        <v>-2.9149128248207035E-4</v>
      </c>
    </row>
    <row r="17" spans="1:11" ht="15.75" thickBot="1" x14ac:dyDescent="0.3"/>
    <row r="18" spans="1:11" ht="15.75" thickBot="1" x14ac:dyDescent="0.3">
      <c r="A18" s="28" t="s">
        <v>30</v>
      </c>
      <c r="B18" s="29"/>
      <c r="D18" s="28" t="s">
        <v>21</v>
      </c>
      <c r="E18" s="29"/>
      <c r="G18" s="31" t="s">
        <v>21</v>
      </c>
      <c r="H18" s="32"/>
      <c r="J18" s="28" t="s">
        <v>21</v>
      </c>
      <c r="K18" s="29"/>
    </row>
    <row r="19" spans="1:11" x14ac:dyDescent="0.25">
      <c r="A19" s="19" t="s">
        <v>18</v>
      </c>
      <c r="B19" s="20">
        <f>MIN(C5:C7)</f>
        <v>60</v>
      </c>
      <c r="D19" s="19" t="s">
        <v>18</v>
      </c>
      <c r="E19" s="20">
        <f>MIN(F5:F7)</f>
        <v>113.82376000000001</v>
      </c>
      <c r="G19" s="8" t="s">
        <v>18</v>
      </c>
      <c r="H19" s="3">
        <f>MIN(I5:I7)</f>
        <v>77.741165691599988</v>
      </c>
      <c r="J19" s="8" t="s">
        <v>18</v>
      </c>
      <c r="K19" s="3">
        <f>MIN(L5:L7)</f>
        <v>100.05636607816359</v>
      </c>
    </row>
    <row r="20" spans="1:11" x14ac:dyDescent="0.25">
      <c r="A20" s="8" t="s">
        <v>32</v>
      </c>
      <c r="B20" s="3">
        <f>SUMPRODUCT(B9:B13,C9:C13)</f>
        <v>1600</v>
      </c>
      <c r="D20" s="8" t="s">
        <v>32</v>
      </c>
      <c r="E20" s="3">
        <f>SUMPRODUCT(E9:E13,F9:F13)</f>
        <v>1115.4863415477762</v>
      </c>
      <c r="G20" s="8" t="s">
        <v>32</v>
      </c>
      <c r="H20" s="3">
        <f>SUMPRODUCT(H9:H13,I9:I13)</f>
        <v>575.17246889002217</v>
      </c>
      <c r="J20" s="8" t="s">
        <v>32</v>
      </c>
      <c r="K20" s="3">
        <f>SUMPRODUCT(K9:K13,L9:L13)</f>
        <v>638.18685841447643</v>
      </c>
    </row>
    <row r="21" spans="1:11" x14ac:dyDescent="0.25">
      <c r="A21" s="8" t="s">
        <v>33</v>
      </c>
      <c r="B21" s="3">
        <f>B3*B19</f>
        <v>600</v>
      </c>
      <c r="D21" s="8" t="s">
        <v>33</v>
      </c>
      <c r="E21" s="3">
        <f>E3*E19</f>
        <v>1090.4562067321601</v>
      </c>
      <c r="G21" s="8" t="s">
        <v>33</v>
      </c>
      <c r="H21" s="3">
        <f>H3*H19</f>
        <v>467.58926924786618</v>
      </c>
      <c r="J21" s="8" t="s">
        <v>33</v>
      </c>
      <c r="K21" s="3">
        <f>K3*K19</f>
        <v>624.51448965390364</v>
      </c>
    </row>
    <row r="22" spans="1:11" x14ac:dyDescent="0.25">
      <c r="A22" s="8" t="s">
        <v>20</v>
      </c>
      <c r="B22" s="3">
        <f>B20/B21-1</f>
        <v>1.6666666666666665</v>
      </c>
      <c r="D22" s="8" t="s">
        <v>20</v>
      </c>
      <c r="E22" s="3">
        <f>E20/E21-1</f>
        <v>2.2953819384113894E-2</v>
      </c>
      <c r="G22" s="8" t="s">
        <v>20</v>
      </c>
      <c r="H22" s="3">
        <f>H20/H21-1</f>
        <v>0.23008055727028842</v>
      </c>
      <c r="J22" s="8" t="s">
        <v>20</v>
      </c>
      <c r="K22" s="3">
        <f>K20/K21-1</f>
        <v>2.1892796703804063E-2</v>
      </c>
    </row>
    <row r="23" spans="1:11" x14ac:dyDescent="0.25">
      <c r="A23" s="8" t="s">
        <v>19</v>
      </c>
      <c r="B23" s="3">
        <f>(B20-B21)/B3</f>
        <v>100</v>
      </c>
      <c r="D23" s="8" t="s">
        <v>19</v>
      </c>
      <c r="E23" s="3">
        <f>(E20-E21)/E3</f>
        <v>2.6126900286607384</v>
      </c>
      <c r="G23" s="8" t="s">
        <v>19</v>
      </c>
      <c r="H23" s="3">
        <f>(H20-H21)/H3</f>
        <v>17.886730725165155</v>
      </c>
      <c r="J23" s="8" t="s">
        <v>19</v>
      </c>
      <c r="K23" s="3">
        <f>(K20-K21)/K3</f>
        <v>2.1905136814706223</v>
      </c>
    </row>
    <row r="24" spans="1:11" ht="15.75" thickBot="1" x14ac:dyDescent="0.3">
      <c r="A24" s="9" t="s">
        <v>31</v>
      </c>
      <c r="B24" s="6">
        <f>ABS(B3-(15-B19/10))</f>
        <v>1</v>
      </c>
      <c r="D24" s="9" t="s">
        <v>31</v>
      </c>
      <c r="E24" s="6">
        <f>ABS(E3-(15-E19/10))</f>
        <v>5.9625920000000008</v>
      </c>
      <c r="G24" s="9" t="s">
        <v>31</v>
      </c>
      <c r="H24" s="6">
        <f>ABS(H3-(15-H19/10))</f>
        <v>1.2111901201840016</v>
      </c>
      <c r="J24" s="9" t="s">
        <v>31</v>
      </c>
      <c r="K24" s="6">
        <f>ABS(K3-(15-K19/10))</f>
        <v>1.2472633441505145</v>
      </c>
    </row>
  </sheetData>
  <mergeCells count="8">
    <mergeCell ref="B1:C1"/>
    <mergeCell ref="D1:F1"/>
    <mergeCell ref="G1:I1"/>
    <mergeCell ref="J1:L1"/>
    <mergeCell ref="D18:E18"/>
    <mergeCell ref="G18:H18"/>
    <mergeCell ref="J18:K18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2</vt:lpstr>
    </vt:vector>
  </TitlesOfParts>
  <Company>The University of Texas at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Boyles</dc:creator>
  <cp:lastModifiedBy>Steve Boyles</cp:lastModifiedBy>
  <dcterms:created xsi:type="dcterms:W3CDTF">2013-10-05T01:23:08Z</dcterms:created>
  <dcterms:modified xsi:type="dcterms:W3CDTF">2018-10-15T21:47:06Z</dcterms:modified>
</cp:coreProperties>
</file>